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rollj01/Dropbox (NYU Langone Health)/Prototropy paper/elife_revisions/file upload/source data/"/>
    </mc:Choice>
  </mc:AlternateContent>
  <xr:revisionPtr revIDLastSave="0" documentId="13_ncr:1_{DE3DFEEA-ED83-324D-92AA-041AC45E73DC}" xr6:coauthVersionLast="36" xr6:coauthVersionMax="36" xr10:uidLastSave="{00000000-0000-0000-0000-000000000000}"/>
  <bookViews>
    <workbookView xWindow="0" yWindow="500" windowWidth="31560" windowHeight="19240" activeTab="1" xr2:uid="{E65BD762-3E28-B54F-BB6B-803FE08463D2}"/>
  </bookViews>
  <sheets>
    <sheet name="A" sheetId="1" r:id="rId1"/>
    <sheet name="B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2" l="1"/>
  <c r="K4" i="2"/>
  <c r="B100" i="2" l="1"/>
  <c r="C100" i="2" s="1"/>
  <c r="S9" i="2" s="1"/>
  <c r="S17" i="2" s="1"/>
  <c r="B99" i="2"/>
  <c r="C99" i="2" s="1"/>
  <c r="S8" i="2" s="1"/>
  <c r="S16" i="2" s="1"/>
  <c r="B98" i="2"/>
  <c r="C98" i="2" s="1"/>
  <c r="S7" i="2" s="1"/>
  <c r="S15" i="2" s="1"/>
  <c r="B97" i="2"/>
  <c r="C97" i="2" s="1"/>
  <c r="S6" i="2" s="1"/>
  <c r="S14" i="2" s="1"/>
  <c r="B96" i="2"/>
  <c r="C96" i="2" s="1"/>
  <c r="S5" i="2" s="1"/>
  <c r="S13" i="2" s="1"/>
  <c r="B95" i="2"/>
  <c r="C95" i="2" s="1"/>
  <c r="S4" i="2" s="1"/>
  <c r="S12" i="2" s="1"/>
  <c r="B91" i="2"/>
  <c r="C91" i="2" s="1"/>
  <c r="B90" i="2"/>
  <c r="C90" i="2" s="1"/>
  <c r="B89" i="2"/>
  <c r="C89" i="2" s="1"/>
  <c r="B88" i="2"/>
  <c r="C88" i="2" s="1"/>
  <c r="B87" i="2"/>
  <c r="C87" i="2" s="1"/>
  <c r="C86" i="2"/>
  <c r="R4" i="2" s="1"/>
  <c r="R12" i="2" s="1"/>
  <c r="B86" i="2"/>
  <c r="B82" i="2"/>
  <c r="C82" i="2" s="1"/>
  <c r="Q9" i="2" s="1"/>
  <c r="Q17" i="2" s="1"/>
  <c r="B81" i="2"/>
  <c r="C81" i="2" s="1"/>
  <c r="B80" i="2"/>
  <c r="C80" i="2" s="1"/>
  <c r="B79" i="2"/>
  <c r="C79" i="2" s="1"/>
  <c r="B78" i="2"/>
  <c r="C78" i="2" s="1"/>
  <c r="B77" i="2"/>
  <c r="C77" i="2" s="1"/>
  <c r="B73" i="2"/>
  <c r="C73" i="2" s="1"/>
  <c r="B72" i="2"/>
  <c r="C72" i="2" s="1"/>
  <c r="E72" i="2" s="1"/>
  <c r="B71" i="2"/>
  <c r="C71" i="2" s="1"/>
  <c r="P7" i="2" s="1"/>
  <c r="P15" i="2" s="1"/>
  <c r="B70" i="2"/>
  <c r="C70" i="2" s="1"/>
  <c r="B69" i="2"/>
  <c r="C69" i="2" s="1"/>
  <c r="B68" i="2"/>
  <c r="C68" i="2" s="1"/>
  <c r="B64" i="2"/>
  <c r="C64" i="2" s="1"/>
  <c r="B63" i="2"/>
  <c r="C63" i="2" s="1"/>
  <c r="C62" i="2"/>
  <c r="E62" i="2" s="1"/>
  <c r="B62" i="2"/>
  <c r="B61" i="2"/>
  <c r="C61" i="2" s="1"/>
  <c r="B60" i="2"/>
  <c r="C60" i="2" s="1"/>
  <c r="O5" i="2" s="1"/>
  <c r="O13" i="2" s="1"/>
  <c r="B59" i="2"/>
  <c r="C59" i="2" s="1"/>
  <c r="B55" i="2"/>
  <c r="C55" i="2" s="1"/>
  <c r="B54" i="2"/>
  <c r="C54" i="2" s="1"/>
  <c r="B53" i="2"/>
  <c r="C53" i="2" s="1"/>
  <c r="B52" i="2"/>
  <c r="C52" i="2" s="1"/>
  <c r="B51" i="2"/>
  <c r="C51" i="2" s="1"/>
  <c r="B50" i="2"/>
  <c r="C50" i="2" s="1"/>
  <c r="E50" i="2" s="1"/>
  <c r="B46" i="2"/>
  <c r="C46" i="2" s="1"/>
  <c r="M9" i="2" s="1"/>
  <c r="M17" i="2" s="1"/>
  <c r="B45" i="2"/>
  <c r="C45" i="2" s="1"/>
  <c r="B44" i="2"/>
  <c r="C44" i="2" s="1"/>
  <c r="B43" i="2"/>
  <c r="C43" i="2" s="1"/>
  <c r="B42" i="2"/>
  <c r="C42" i="2" s="1"/>
  <c r="B41" i="2"/>
  <c r="C41" i="2" s="1"/>
  <c r="B37" i="2"/>
  <c r="C37" i="2" s="1"/>
  <c r="L9" i="2" s="1"/>
  <c r="L17" i="2" s="1"/>
  <c r="B36" i="2"/>
  <c r="C36" i="2" s="1"/>
  <c r="B35" i="2"/>
  <c r="C35" i="2" s="1"/>
  <c r="B34" i="2"/>
  <c r="C34" i="2" s="1"/>
  <c r="B33" i="2"/>
  <c r="C33" i="2" s="1"/>
  <c r="B32" i="2"/>
  <c r="C32" i="2" s="1"/>
  <c r="B28" i="2"/>
  <c r="C28" i="2" s="1"/>
  <c r="B27" i="2"/>
  <c r="C27" i="2" s="1"/>
  <c r="B26" i="2"/>
  <c r="C26" i="2" s="1"/>
  <c r="B25" i="2"/>
  <c r="C25" i="2" s="1"/>
  <c r="B24" i="2"/>
  <c r="C24" i="2" s="1"/>
  <c r="B23" i="2"/>
  <c r="C23" i="2" s="1"/>
  <c r="B19" i="2"/>
  <c r="C19" i="2" s="1"/>
  <c r="E19" i="2" s="1"/>
  <c r="B18" i="2"/>
  <c r="C18" i="2" s="1"/>
  <c r="E18" i="2" s="1"/>
  <c r="J17" i="2"/>
  <c r="I17" i="2"/>
  <c r="B17" i="2"/>
  <c r="C17" i="2" s="1"/>
  <c r="E17" i="2" s="1"/>
  <c r="J16" i="2"/>
  <c r="I16" i="2"/>
  <c r="B16" i="2"/>
  <c r="C16" i="2" s="1"/>
  <c r="E16" i="2" s="1"/>
  <c r="J15" i="2"/>
  <c r="I15" i="2"/>
  <c r="B15" i="2"/>
  <c r="C15" i="2" s="1"/>
  <c r="E15" i="2" s="1"/>
  <c r="J14" i="2"/>
  <c r="I14" i="2"/>
  <c r="B14" i="2"/>
  <c r="C14" i="2" s="1"/>
  <c r="E14" i="2" s="1"/>
  <c r="J13" i="2"/>
  <c r="I13" i="2"/>
  <c r="I12" i="2"/>
  <c r="B10" i="2"/>
  <c r="C10" i="2" s="1"/>
  <c r="B9" i="2"/>
  <c r="C9" i="2" s="1"/>
  <c r="B8" i="2"/>
  <c r="C8" i="2" s="1"/>
  <c r="B7" i="2"/>
  <c r="C7" i="2" s="1"/>
  <c r="B6" i="2"/>
  <c r="C6" i="2" s="1"/>
  <c r="B5" i="2"/>
  <c r="C5" i="2" s="1"/>
  <c r="E61" i="2" l="1"/>
  <c r="O6" i="2"/>
  <c r="O14" i="2" s="1"/>
  <c r="E51" i="2"/>
  <c r="N5" i="2"/>
  <c r="N13" i="2" s="1"/>
  <c r="E23" i="2"/>
  <c r="K12" i="2"/>
  <c r="D9" i="2"/>
  <c r="O7" i="2"/>
  <c r="O15" i="2" s="1"/>
  <c r="N4" i="2"/>
  <c r="N12" i="2" s="1"/>
  <c r="D6" i="2"/>
  <c r="O8" i="2"/>
  <c r="O16" i="2" s="1"/>
  <c r="E63" i="2"/>
  <c r="E91" i="2"/>
  <c r="R9" i="2"/>
  <c r="R17" i="2" s="1"/>
  <c r="E28" i="2"/>
  <c r="K9" i="2"/>
  <c r="K17" i="2" s="1"/>
  <c r="E34" i="2"/>
  <c r="L6" i="2"/>
  <c r="L14" i="2" s="1"/>
  <c r="E73" i="2"/>
  <c r="P9" i="2"/>
  <c r="P17" i="2" s="1"/>
  <c r="E27" i="2"/>
  <c r="K8" i="2"/>
  <c r="K16" i="2" s="1"/>
  <c r="E59" i="2"/>
  <c r="O4" i="2"/>
  <c r="O12" i="2" s="1"/>
  <c r="P4" i="2"/>
  <c r="P12" i="2" s="1"/>
  <c r="E68" i="2"/>
  <c r="Q4" i="2"/>
  <c r="Q12" i="2" s="1"/>
  <c r="E77" i="2"/>
  <c r="E78" i="2"/>
  <c r="Q5" i="2"/>
  <c r="Q13" i="2" s="1"/>
  <c r="E87" i="2"/>
  <c r="R5" i="2"/>
  <c r="R13" i="2" s="1"/>
  <c r="L4" i="2"/>
  <c r="L12" i="2" s="1"/>
  <c r="E32" i="2"/>
  <c r="E33" i="2"/>
  <c r="L5" i="2"/>
  <c r="L13" i="2" s="1"/>
  <c r="E55" i="2"/>
  <c r="N9" i="2"/>
  <c r="N17" i="2" s="1"/>
  <c r="L8" i="2"/>
  <c r="L16" i="2" s="1"/>
  <c r="E36" i="2"/>
  <c r="E42" i="2"/>
  <c r="M5" i="2"/>
  <c r="M13" i="2" s="1"/>
  <c r="E69" i="2"/>
  <c r="P5" i="2"/>
  <c r="P13" i="2" s="1"/>
  <c r="K5" i="2"/>
  <c r="K13" i="2" s="1"/>
  <c r="E24" i="2"/>
  <c r="M6" i="2"/>
  <c r="M14" i="2" s="1"/>
  <c r="E43" i="2"/>
  <c r="E70" i="2"/>
  <c r="P6" i="2"/>
  <c r="P14" i="2" s="1"/>
  <c r="E79" i="2"/>
  <c r="Q6" i="2"/>
  <c r="Q14" i="2" s="1"/>
  <c r="R6" i="2"/>
  <c r="R14" i="2" s="1"/>
  <c r="E88" i="2"/>
  <c r="K6" i="2"/>
  <c r="K14" i="2" s="1"/>
  <c r="E25" i="2"/>
  <c r="E44" i="2"/>
  <c r="M7" i="2"/>
  <c r="M15" i="2" s="1"/>
  <c r="E52" i="2"/>
  <c r="N6" i="2"/>
  <c r="N14" i="2" s="1"/>
  <c r="Q7" i="2"/>
  <c r="Q15" i="2" s="1"/>
  <c r="E80" i="2"/>
  <c r="R7" i="2"/>
  <c r="R15" i="2" s="1"/>
  <c r="E89" i="2"/>
  <c r="N8" i="2"/>
  <c r="N16" i="2" s="1"/>
  <c r="E54" i="2"/>
  <c r="E64" i="2"/>
  <c r="O9" i="2"/>
  <c r="O17" i="2" s="1"/>
  <c r="E35" i="2"/>
  <c r="L7" i="2"/>
  <c r="L15" i="2" s="1"/>
  <c r="E41" i="2"/>
  <c r="M4" i="2"/>
  <c r="M12" i="2" s="1"/>
  <c r="E26" i="2"/>
  <c r="K7" i="2"/>
  <c r="K15" i="2" s="1"/>
  <c r="M8" i="2"/>
  <c r="M16" i="2" s="1"/>
  <c r="E45" i="2"/>
  <c r="E53" i="2"/>
  <c r="N7" i="2"/>
  <c r="N15" i="2" s="1"/>
  <c r="E81" i="2"/>
  <c r="Q8" i="2"/>
  <c r="Q16" i="2" s="1"/>
  <c r="R8" i="2"/>
  <c r="R16" i="2" s="1"/>
  <c r="E90" i="2"/>
  <c r="E37" i="2"/>
  <c r="E46" i="2"/>
  <c r="E60" i="2"/>
  <c r="E71" i="2"/>
  <c r="E82" i="2"/>
  <c r="P8" i="2"/>
  <c r="P16" i="2" s="1"/>
  <c r="E86" i="2"/>
  <c r="B31" i="1" l="1"/>
  <c r="C31" i="1" s="1"/>
  <c r="B30" i="1"/>
  <c r="C30" i="1" s="1"/>
  <c r="B29" i="1"/>
  <c r="C29" i="1" s="1"/>
  <c r="B28" i="1"/>
  <c r="C28" i="1" s="1"/>
  <c r="B27" i="1"/>
  <c r="C27" i="1" s="1"/>
  <c r="B26" i="1"/>
  <c r="C26" i="1" s="1"/>
  <c r="B25" i="1"/>
  <c r="C25" i="1" s="1"/>
  <c r="B24" i="1"/>
  <c r="C24" i="1" s="1"/>
  <c r="B23" i="1"/>
  <c r="C23" i="1" s="1"/>
  <c r="B22" i="1"/>
  <c r="C22" i="1" s="1"/>
  <c r="B21" i="1"/>
  <c r="C21" i="1" s="1"/>
  <c r="C20" i="1"/>
  <c r="B20" i="1"/>
  <c r="C16" i="1"/>
  <c r="B16" i="1"/>
  <c r="B15" i="1"/>
  <c r="C15" i="1" s="1"/>
  <c r="B14" i="1"/>
  <c r="C14" i="1" s="1"/>
  <c r="B13" i="1"/>
  <c r="C13" i="1" s="1"/>
  <c r="B12" i="1"/>
  <c r="C12" i="1" s="1"/>
  <c r="C11" i="1"/>
  <c r="B11" i="1"/>
  <c r="B10" i="1"/>
  <c r="C10" i="1" s="1"/>
  <c r="B9" i="1"/>
  <c r="C9" i="1" s="1"/>
  <c r="B8" i="1"/>
  <c r="C8" i="1" s="1"/>
  <c r="B7" i="1"/>
  <c r="C7" i="1" s="1"/>
  <c r="B6" i="1"/>
  <c r="C6" i="1" s="1"/>
  <c r="B5" i="1"/>
  <c r="C5" i="1" s="1"/>
</calcChain>
</file>

<file path=xl/sharedStrings.xml><?xml version="1.0" encoding="utf-8"?>
<sst xmlns="http://schemas.openxmlformats.org/spreadsheetml/2006/main" count="201" uniqueCount="39">
  <si>
    <t>Count</t>
  </si>
  <si>
    <t>Actual</t>
  </si>
  <si>
    <t>Day 8</t>
  </si>
  <si>
    <t>Day 14</t>
  </si>
  <si>
    <t>Counted 3 of each well on 3/26/22 and replated the MTIV and MTIV-LV wells</t>
  </si>
  <si>
    <t>PDL</t>
  </si>
  <si>
    <t>Day 0</t>
  </si>
  <si>
    <t>On 4/10/22 Plated 250k of each cell line into commercial RPMI.</t>
  </si>
  <si>
    <t>On 4/11/22 Counted 3 wells of each and switched remainder of wells to reconstituted RPMI</t>
  </si>
  <si>
    <t>Cumulative cell number</t>
  </si>
  <si>
    <t>Day 2</t>
  </si>
  <si>
    <t>Day 5</t>
  </si>
  <si>
    <t>Day 11</t>
  </si>
  <si>
    <t>Day 17</t>
  </si>
  <si>
    <t>Day 20</t>
  </si>
  <si>
    <t>Day 23</t>
  </si>
  <si>
    <t>Day 26</t>
  </si>
  <si>
    <t>Day 29</t>
  </si>
  <si>
    <t>On 4/13/22 counted each well and plated 200k per well into reconstituted complete RPMI</t>
  </si>
  <si>
    <t>Replated (volume)</t>
  </si>
  <si>
    <t>Replated (cells)</t>
  </si>
  <si>
    <t>On 4/16/22 counted each well and plated 200k per well into reconstituted complete RPMI</t>
  </si>
  <si>
    <t>On 4/19/22 counted each well and plated 200k per well into reconstituted complete RPMI</t>
  </si>
  <si>
    <t>On 4/22/22 counted each well and plated 200k per well into reconstituted complete RPMI</t>
  </si>
  <si>
    <t>On 4/25/22 counted each well and plated 200k per well into reconstituted complete RPMI</t>
  </si>
  <si>
    <t>On 4/28/22 counted each well and plated 200k per well into reconstituted complete RPMI</t>
  </si>
  <si>
    <t>On 5/1/22 counted each well and plated 200k per well into reconstituted complete RPMI</t>
  </si>
  <si>
    <t>On 5/4/22 counted each well and plated 200k per well into reconstituted complete RPMI</t>
  </si>
  <si>
    <t>On 5/7/22 counted each well and plated 200k per well into reconstituted complete RPMI</t>
  </si>
  <si>
    <t>On 5/10/22 counted each well and plated 200k per well into reconstituted complete RPMI</t>
  </si>
  <si>
    <t>ended</t>
  </si>
  <si>
    <t>pMTIV</t>
  </si>
  <si>
    <t>pMTIV-ilvD+</t>
  </si>
  <si>
    <t>Plated cells on 3/21/22 ~250k cells per 6 well - 6 wells of each pCtrl, pCtrl-ilvD+, pMTIV, pMTIV-ilvD+ cells</t>
  </si>
  <si>
    <t>Counted 3 wells of each on 3/22/22 and switched the remainder to valine-free RPMI (F12K Ile)</t>
  </si>
  <si>
    <t>Day 0 count</t>
  </si>
  <si>
    <t>Day 4 count</t>
  </si>
  <si>
    <t>pCtrl</t>
  </si>
  <si>
    <t>pCtrl-ilvD+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</si>
</sst>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"/>
    <numFmt numFmtId="165" formatCode="0.000"/>
  </numFmts>
  <fonts count="2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1" fontId="0" fillId="0" borderId="0" xfId="0" applyNumberFormat="1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165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5DE7B-54DF-8740-8600-D4897179F2A7}">
  <dimension ref="A1:O42"/>
  <sheetViews>
    <sheetView zoomScale="75" workbookViewId="0">
      <selection activeCell="F47" sqref="F47"/>
    </sheetView>
  </sheetViews>
  <sheetFormatPr baseColWidth="10" defaultRowHeight="16"/>
  <cols>
    <col min="1" max="1" width="39.6640625" customWidth="1"/>
  </cols>
  <sheetData>
    <row r="1" spans="1:15">
      <c r="A1" s="1" t="s">
        <v>33</v>
      </c>
    </row>
    <row r="3" spans="1:15">
      <c r="A3" t="s">
        <v>34</v>
      </c>
    </row>
    <row r="4" spans="1:15">
      <c r="A4" s="1" t="s">
        <v>35</v>
      </c>
      <c r="B4" t="s">
        <v>0</v>
      </c>
      <c r="C4" t="s">
        <v>1</v>
      </c>
    </row>
    <row r="5" spans="1:15">
      <c r="A5" t="s">
        <v>37</v>
      </c>
      <c r="B5">
        <f>2.944*10^5</f>
        <v>294400</v>
      </c>
      <c r="C5">
        <f>B5*1.5</f>
        <v>441600</v>
      </c>
      <c r="K5" s="2"/>
      <c r="L5" s="2"/>
      <c r="O5" s="2"/>
    </row>
    <row r="6" spans="1:15">
      <c r="A6" t="s">
        <v>37</v>
      </c>
      <c r="B6">
        <f>2.797*10^5</f>
        <v>279700</v>
      </c>
      <c r="C6">
        <f t="shared" ref="C6:C16" si="0">B6*1.5</f>
        <v>419550</v>
      </c>
      <c r="K6" s="2"/>
      <c r="L6" s="2"/>
    </row>
    <row r="7" spans="1:15">
      <c r="A7" t="s">
        <v>37</v>
      </c>
      <c r="B7">
        <f>3.613*10^5</f>
        <v>361300</v>
      </c>
      <c r="C7">
        <f t="shared" si="0"/>
        <v>541950</v>
      </c>
      <c r="K7" s="2"/>
      <c r="L7" s="2"/>
    </row>
    <row r="8" spans="1:15">
      <c r="A8" t="s">
        <v>38</v>
      </c>
      <c r="B8">
        <f>3.615*10^5</f>
        <v>361500</v>
      </c>
      <c r="C8">
        <f t="shared" si="0"/>
        <v>542250</v>
      </c>
      <c r="K8" s="2"/>
      <c r="L8" s="2"/>
    </row>
    <row r="9" spans="1:15">
      <c r="A9" t="s">
        <v>38</v>
      </c>
      <c r="B9">
        <f>3.954*10^5</f>
        <v>395400</v>
      </c>
      <c r="C9">
        <f t="shared" si="0"/>
        <v>593100</v>
      </c>
      <c r="K9" s="2"/>
      <c r="L9" s="2"/>
    </row>
    <row r="10" spans="1:15">
      <c r="A10" t="s">
        <v>38</v>
      </c>
      <c r="B10">
        <f>4.035*10^5</f>
        <v>403500</v>
      </c>
      <c r="C10">
        <f t="shared" si="0"/>
        <v>605250</v>
      </c>
      <c r="K10" s="2"/>
      <c r="L10" s="2"/>
    </row>
    <row r="11" spans="1:15">
      <c r="A11" t="s">
        <v>31</v>
      </c>
      <c r="B11">
        <f>3.67*10^5</f>
        <v>367000</v>
      </c>
      <c r="C11">
        <f t="shared" si="0"/>
        <v>550500</v>
      </c>
      <c r="K11" s="2"/>
      <c r="L11" s="2"/>
      <c r="O11" s="2"/>
    </row>
    <row r="12" spans="1:15">
      <c r="A12" t="s">
        <v>31</v>
      </c>
      <c r="B12">
        <f>3.982*10^5</f>
        <v>398200</v>
      </c>
      <c r="C12">
        <f t="shared" si="0"/>
        <v>597300</v>
      </c>
      <c r="K12" s="2"/>
      <c r="L12" s="2"/>
      <c r="O12" s="2"/>
    </row>
    <row r="13" spans="1:15">
      <c r="A13" t="s">
        <v>31</v>
      </c>
      <c r="B13">
        <f>3.828*10^5</f>
        <v>382800</v>
      </c>
      <c r="C13">
        <f t="shared" si="0"/>
        <v>574200</v>
      </c>
      <c r="K13" s="2"/>
      <c r="L13" s="2"/>
      <c r="O13" s="2"/>
    </row>
    <row r="14" spans="1:15">
      <c r="A14" t="s">
        <v>32</v>
      </c>
      <c r="B14">
        <f>3.67*10^5</f>
        <v>367000</v>
      </c>
      <c r="C14">
        <f t="shared" si="0"/>
        <v>550500</v>
      </c>
      <c r="K14" s="2"/>
      <c r="L14" s="2"/>
      <c r="O14" s="2"/>
    </row>
    <row r="15" spans="1:15">
      <c r="A15" t="s">
        <v>32</v>
      </c>
      <c r="B15">
        <f>3.36*10^5</f>
        <v>336000</v>
      </c>
      <c r="C15">
        <f t="shared" si="0"/>
        <v>504000</v>
      </c>
      <c r="K15" s="2"/>
      <c r="L15" s="2"/>
      <c r="O15" s="2"/>
    </row>
    <row r="16" spans="1:15">
      <c r="A16" t="s">
        <v>32</v>
      </c>
      <c r="B16">
        <f>3.603*10^5</f>
        <v>360300</v>
      </c>
      <c r="C16">
        <f t="shared" si="0"/>
        <v>540450</v>
      </c>
      <c r="K16" s="2"/>
      <c r="L16" s="2"/>
      <c r="M16" s="2"/>
      <c r="N16" s="2"/>
      <c r="O16" s="2"/>
    </row>
    <row r="18" spans="1:13">
      <c r="A18" t="s">
        <v>4</v>
      </c>
    </row>
    <row r="19" spans="1:13">
      <c r="A19" s="1" t="s">
        <v>36</v>
      </c>
      <c r="B19" t="s">
        <v>0</v>
      </c>
      <c r="C19" t="s">
        <v>1</v>
      </c>
    </row>
    <row r="20" spans="1:13">
      <c r="A20" t="s">
        <v>37</v>
      </c>
      <c r="B20">
        <f>1.674*10^5</f>
        <v>167400</v>
      </c>
      <c r="C20">
        <f>B20</f>
        <v>167400</v>
      </c>
      <c r="I20" s="3"/>
      <c r="J20" s="4"/>
    </row>
    <row r="21" spans="1:13">
      <c r="A21" t="s">
        <v>37</v>
      </c>
      <c r="B21">
        <f>1.976*10^5</f>
        <v>197600</v>
      </c>
      <c r="C21">
        <f t="shared" ref="C21:C25" si="1">B21</f>
        <v>197600</v>
      </c>
      <c r="D21" s="5"/>
      <c r="E21" s="3"/>
      <c r="I21" s="3"/>
      <c r="J21" s="4"/>
    </row>
    <row r="22" spans="1:13">
      <c r="A22" t="s">
        <v>37</v>
      </c>
      <c r="B22">
        <f>1.902*10^5</f>
        <v>190200</v>
      </c>
      <c r="C22">
        <f t="shared" si="1"/>
        <v>190200</v>
      </c>
      <c r="D22" s="5"/>
      <c r="E22" s="3"/>
      <c r="I22" s="3"/>
      <c r="J22" s="4"/>
    </row>
    <row r="23" spans="1:13">
      <c r="A23" t="s">
        <v>38</v>
      </c>
      <c r="B23">
        <f>1.907*10^5</f>
        <v>190700</v>
      </c>
      <c r="C23">
        <f t="shared" si="1"/>
        <v>190700</v>
      </c>
      <c r="D23" s="5"/>
      <c r="E23" s="3"/>
      <c r="I23" s="3"/>
      <c r="J23" s="4"/>
    </row>
    <row r="24" spans="1:13">
      <c r="A24" t="s">
        <v>38</v>
      </c>
      <c r="B24">
        <f>2.226*10^5</f>
        <v>222600</v>
      </c>
      <c r="C24">
        <f t="shared" si="1"/>
        <v>222600</v>
      </c>
      <c r="D24" s="5"/>
      <c r="E24" s="3"/>
      <c r="I24" s="3"/>
      <c r="J24" s="4"/>
    </row>
    <row r="25" spans="1:13">
      <c r="A25" t="s">
        <v>38</v>
      </c>
      <c r="B25">
        <f>2.027*10^5</f>
        <v>202700</v>
      </c>
      <c r="C25">
        <f t="shared" si="1"/>
        <v>202700</v>
      </c>
      <c r="D25" s="5"/>
      <c r="E25" s="3"/>
      <c r="I25" s="3"/>
      <c r="J25" s="4"/>
    </row>
    <row r="26" spans="1:13">
      <c r="A26" t="s">
        <v>31</v>
      </c>
      <c r="B26">
        <f>1.113*10^5</f>
        <v>111300</v>
      </c>
      <c r="C26">
        <f>B26*10</f>
        <v>1113000</v>
      </c>
      <c r="D26" s="5"/>
      <c r="E26" s="3"/>
      <c r="I26" s="3"/>
      <c r="J26" s="4"/>
      <c r="M26" s="4"/>
    </row>
    <row r="27" spans="1:13">
      <c r="A27" t="s">
        <v>31</v>
      </c>
      <c r="B27">
        <f>1.357*10^5</f>
        <v>135700</v>
      </c>
      <c r="C27">
        <f t="shared" ref="C27:C31" si="2">B27*10</f>
        <v>1357000</v>
      </c>
      <c r="D27" s="5"/>
      <c r="E27" s="3"/>
      <c r="I27" s="3"/>
      <c r="J27" s="4"/>
      <c r="M27" s="4"/>
    </row>
    <row r="28" spans="1:13">
      <c r="A28" t="s">
        <v>31</v>
      </c>
      <c r="B28">
        <f>1.198*10^5</f>
        <v>119800</v>
      </c>
      <c r="C28">
        <f t="shared" si="2"/>
        <v>1198000</v>
      </c>
      <c r="D28" s="5"/>
      <c r="E28" s="3"/>
      <c r="I28" s="3"/>
      <c r="J28" s="4"/>
      <c r="M28" s="4"/>
    </row>
    <row r="29" spans="1:13">
      <c r="A29" t="s">
        <v>32</v>
      </c>
      <c r="B29">
        <f>1.204*10^5</f>
        <v>120400</v>
      </c>
      <c r="C29">
        <f t="shared" si="2"/>
        <v>1204000</v>
      </c>
      <c r="D29" s="5"/>
      <c r="E29" s="3"/>
      <c r="I29" s="3"/>
      <c r="J29" s="4"/>
      <c r="M29" s="4"/>
    </row>
    <row r="30" spans="1:13">
      <c r="A30" t="s">
        <v>32</v>
      </c>
      <c r="B30">
        <f>1.456*10^5</f>
        <v>145600</v>
      </c>
      <c r="C30">
        <f t="shared" si="2"/>
        <v>1456000</v>
      </c>
      <c r="D30" s="5"/>
      <c r="E30" s="3"/>
      <c r="I30" s="3"/>
      <c r="J30" s="4"/>
      <c r="M30" s="4"/>
    </row>
    <row r="31" spans="1:13">
      <c r="A31" t="s">
        <v>32</v>
      </c>
      <c r="B31">
        <f>1.892*10^5</f>
        <v>189200</v>
      </c>
      <c r="C31">
        <f t="shared" si="2"/>
        <v>1892000</v>
      </c>
      <c r="D31" s="5"/>
      <c r="I31" s="3"/>
      <c r="J31" s="4"/>
      <c r="K31" s="4"/>
      <c r="L31" s="4"/>
      <c r="M31" s="4"/>
    </row>
    <row r="33" spans="3:4">
      <c r="C33" s="5"/>
      <c r="D33" s="6"/>
    </row>
    <row r="36" spans="3:4">
      <c r="D36" s="6"/>
    </row>
    <row r="37" spans="3:4">
      <c r="C37" s="5"/>
      <c r="D37" s="6"/>
    </row>
    <row r="42" spans="3:4">
      <c r="D42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A550E-EC50-C942-A226-F7FB7DC29126}">
  <dimension ref="A1:W100"/>
  <sheetViews>
    <sheetView tabSelected="1" zoomScale="63" workbookViewId="0">
      <selection activeCell="P30" sqref="P30"/>
    </sheetView>
  </sheetViews>
  <sheetFormatPr baseColWidth="10" defaultRowHeight="16"/>
  <cols>
    <col min="1" max="1" width="31.5" customWidth="1"/>
    <col min="2" max="3" width="11" bestFit="1" customWidth="1"/>
    <col min="4" max="4" width="17.83203125" customWidth="1"/>
    <col min="5" max="5" width="14.1640625" bestFit="1" customWidth="1"/>
    <col min="8" max="8" width="30.83203125" bestFit="1" customWidth="1"/>
    <col min="9" max="12" width="11" bestFit="1" customWidth="1"/>
    <col min="13" max="13" width="12.33203125" bestFit="1" customWidth="1"/>
    <col min="14" max="14" width="11" bestFit="1" customWidth="1"/>
    <col min="15" max="15" width="12.83203125" bestFit="1" customWidth="1"/>
    <col min="16" max="18" width="12.1640625" bestFit="1" customWidth="1"/>
    <col min="19" max="19" width="13" bestFit="1" customWidth="1"/>
    <col min="20" max="22" width="11" bestFit="1" customWidth="1"/>
  </cols>
  <sheetData>
    <row r="1" spans="1:23">
      <c r="A1" t="s">
        <v>7</v>
      </c>
    </row>
    <row r="3" spans="1:23">
      <c r="A3" s="1" t="s">
        <v>8</v>
      </c>
      <c r="H3" t="s">
        <v>9</v>
      </c>
      <c r="I3" t="s">
        <v>6</v>
      </c>
      <c r="J3" t="s">
        <v>10</v>
      </c>
      <c r="K3" t="s">
        <v>11</v>
      </c>
      <c r="L3" t="s">
        <v>2</v>
      </c>
      <c r="M3" t="s">
        <v>12</v>
      </c>
      <c r="N3" t="s">
        <v>3</v>
      </c>
      <c r="O3" t="s">
        <v>13</v>
      </c>
      <c r="P3" t="s">
        <v>14</v>
      </c>
      <c r="Q3" t="s">
        <v>15</v>
      </c>
      <c r="R3" t="s">
        <v>16</v>
      </c>
      <c r="S3" t="s">
        <v>17</v>
      </c>
    </row>
    <row r="4" spans="1:23">
      <c r="B4" t="s">
        <v>0</v>
      </c>
      <c r="C4" t="s">
        <v>1</v>
      </c>
      <c r="H4" t="s">
        <v>31</v>
      </c>
      <c r="I4" s="2">
        <v>395700</v>
      </c>
      <c r="J4" s="2">
        <v>1929400</v>
      </c>
      <c r="K4" s="2">
        <f>C23*1/D14</f>
        <v>15123076.923076924</v>
      </c>
      <c r="L4" s="2">
        <f t="shared" ref="L4:L9" si="0">C32*1/D23*1/D14</f>
        <v>73888221.15384616</v>
      </c>
      <c r="M4">
        <f t="shared" ref="M4:M9" si="1">C41*1/D23*1/D14*1/D32</f>
        <v>668569711.53846169</v>
      </c>
      <c r="N4" s="2">
        <f t="shared" ref="N4:N9" si="2">C50*1/D41*1/D23*1/D14*1/D32</f>
        <v>5138569304.4700403</v>
      </c>
      <c r="O4" s="2">
        <f t="shared" ref="O4:O9" si="3">C59*1/D50*1/D41*1/D23*1/D14*1/D32</f>
        <v>33398769170.120979</v>
      </c>
      <c r="P4" s="2">
        <f t="shared" ref="P4:P9" si="4">C68*1/D50*1/D41*1/D23*1/D14*1/D32*1/D59</f>
        <v>250986555008.81952</v>
      </c>
      <c r="Q4" s="2">
        <f t="shared" ref="Q4:Q9" si="5">C77*1/D68*1/D50*1/D41*1/D23*1/D14*1/D32*1/D59</f>
        <v>1961294103749.1721</v>
      </c>
      <c r="R4" s="2">
        <f t="shared" ref="R4:R9" si="6">C86*1/D77*1/D68*1/D50*1/D41*1/D23*1/D14*1/D32*1/D59</f>
        <v>10861373296904.219</v>
      </c>
      <c r="S4" s="2">
        <f t="shared" ref="S4:S9" si="7">C95*1/D86*1/D77*1/D68*1/D50*1/D41*1/D23*1/D14*1/D32*1/D59</f>
        <v>74561787770691.75</v>
      </c>
    </row>
    <row r="5" spans="1:23">
      <c r="A5" t="s">
        <v>31</v>
      </c>
      <c r="B5">
        <f>2.168*10^5</f>
        <v>216800.00000000003</v>
      </c>
      <c r="C5" s="2">
        <f>B5*1.5</f>
        <v>325200.00000000006</v>
      </c>
      <c r="H5" t="s">
        <v>31</v>
      </c>
      <c r="I5" s="2">
        <v>395700</v>
      </c>
      <c r="J5" s="2">
        <v>2024000</v>
      </c>
      <c r="K5" s="2">
        <f t="shared" ref="K5:K9" si="8">C24*1/D15</f>
        <v>14812121.212121211</v>
      </c>
      <c r="L5" s="2">
        <f t="shared" si="0"/>
        <v>78624480.095068321</v>
      </c>
      <c r="M5">
        <f t="shared" si="1"/>
        <v>773524720.89314175</v>
      </c>
      <c r="N5" s="2">
        <f t="shared" si="2"/>
        <v>4694703975.3450241</v>
      </c>
      <c r="O5" s="2">
        <f t="shared" si="3"/>
        <v>36055232483.744057</v>
      </c>
      <c r="P5" s="2">
        <f t="shared" si="4"/>
        <v>295343455874.96692</v>
      </c>
      <c r="Q5" s="2">
        <f t="shared" si="5"/>
        <v>2600224978690.9951</v>
      </c>
      <c r="R5" s="2">
        <f t="shared" si="6"/>
        <v>19282310100237.086</v>
      </c>
      <c r="S5" s="2">
        <f t="shared" si="7"/>
        <v>125801521600323.86</v>
      </c>
    </row>
    <row r="6" spans="1:23">
      <c r="A6" t="s">
        <v>31</v>
      </c>
      <c r="B6">
        <f>2.662*10^5</f>
        <v>266200</v>
      </c>
      <c r="C6" s="2">
        <f t="shared" ref="C6:C10" si="9">B6*1.5</f>
        <v>399300</v>
      </c>
      <c r="D6" s="2">
        <f>AVERAGE(C5:C7)</f>
        <v>395700</v>
      </c>
      <c r="H6" t="s">
        <v>31</v>
      </c>
      <c r="I6" s="2">
        <v>395700</v>
      </c>
      <c r="J6" s="2">
        <v>2001999.9999999998</v>
      </c>
      <c r="K6" s="2">
        <f t="shared" si="8"/>
        <v>15986000</v>
      </c>
      <c r="L6" s="2">
        <f t="shared" si="0"/>
        <v>97888000</v>
      </c>
      <c r="M6">
        <f t="shared" si="1"/>
        <v>772097560.97560978</v>
      </c>
      <c r="N6" s="2">
        <f t="shared" si="2"/>
        <v>5265195509.0979471</v>
      </c>
      <c r="O6" s="2">
        <f t="shared" si="3"/>
        <v>50947982754.851845</v>
      </c>
      <c r="P6" s="2">
        <f t="shared" si="4"/>
        <v>383905311730.10016</v>
      </c>
      <c r="Q6" s="2">
        <f t="shared" si="5"/>
        <v>3021562255011.7324</v>
      </c>
      <c r="R6" s="2">
        <f t="shared" si="6"/>
        <v>17704141796644.168</v>
      </c>
      <c r="S6" s="2">
        <f t="shared" si="7"/>
        <v>106713187285921.78</v>
      </c>
    </row>
    <row r="7" spans="1:23">
      <c r="A7" t="s">
        <v>31</v>
      </c>
      <c r="B7">
        <f>3.084*10^5</f>
        <v>308400</v>
      </c>
      <c r="C7" s="2">
        <f t="shared" si="9"/>
        <v>462600</v>
      </c>
      <c r="H7" t="s">
        <v>32</v>
      </c>
      <c r="I7" s="2">
        <v>556100</v>
      </c>
      <c r="J7" s="2">
        <v>2520000</v>
      </c>
      <c r="K7" s="2">
        <f t="shared" si="8"/>
        <v>20162025.316455696</v>
      </c>
      <c r="L7" s="2">
        <f t="shared" si="0"/>
        <v>111954992.96765119</v>
      </c>
      <c r="M7">
        <f t="shared" si="1"/>
        <v>999709776.08108413</v>
      </c>
      <c r="N7" s="2">
        <f t="shared" si="2"/>
        <v>6762257176.6634455</v>
      </c>
      <c r="O7" s="2">
        <f t="shared" si="3"/>
        <v>54154601936.644241</v>
      </c>
      <c r="P7" s="2">
        <f t="shared" si="4"/>
        <v>389307245956.35144</v>
      </c>
      <c r="Q7" s="2">
        <f t="shared" si="5"/>
        <v>3179792865572.9956</v>
      </c>
      <c r="R7" s="2">
        <f t="shared" si="6"/>
        <v>21572371132702.504</v>
      </c>
      <c r="S7" s="2">
        <f t="shared" si="7"/>
        <v>147613429904330.66</v>
      </c>
    </row>
    <row r="8" spans="1:23">
      <c r="A8" t="s">
        <v>32</v>
      </c>
      <c r="B8">
        <f>3.35*10^5</f>
        <v>335000</v>
      </c>
      <c r="C8" s="2">
        <f t="shared" si="9"/>
        <v>502500</v>
      </c>
      <c r="H8" t="s">
        <v>32</v>
      </c>
      <c r="I8" s="2">
        <v>556100</v>
      </c>
      <c r="J8" s="2">
        <v>2536000</v>
      </c>
      <c r="K8" s="2">
        <f t="shared" si="8"/>
        <v>22964556.962025315</v>
      </c>
      <c r="L8" s="2">
        <f t="shared" si="0"/>
        <v>121588032.2209436</v>
      </c>
      <c r="M8">
        <f t="shared" si="1"/>
        <v>1057113439.5251651</v>
      </c>
      <c r="N8" s="2">
        <f t="shared" si="2"/>
        <v>8036802869.2334223</v>
      </c>
      <c r="O8" s="2">
        <f t="shared" si="3"/>
        <v>60123451476.887047</v>
      </c>
      <c r="P8" s="2">
        <f t="shared" si="4"/>
        <v>401129031994.48083</v>
      </c>
      <c r="Q8" s="2">
        <f t="shared" si="5"/>
        <v>3294198151440.7729</v>
      </c>
      <c r="R8" s="2">
        <f t="shared" si="6"/>
        <v>23535645536667.523</v>
      </c>
      <c r="S8" s="2">
        <f t="shared" si="7"/>
        <v>162099341879973.09</v>
      </c>
    </row>
    <row r="9" spans="1:23">
      <c r="A9" t="s">
        <v>32</v>
      </c>
      <c r="B9">
        <f>3.758*10^5</f>
        <v>375800</v>
      </c>
      <c r="C9" s="2">
        <f t="shared" si="9"/>
        <v>563700</v>
      </c>
      <c r="D9" s="2">
        <f>AVERAGE(C8:C10)</f>
        <v>556100</v>
      </c>
      <c r="H9" t="s">
        <v>32</v>
      </c>
      <c r="I9" s="2">
        <v>556100</v>
      </c>
      <c r="J9" s="2">
        <v>2444000</v>
      </c>
      <c r="K9" s="2">
        <f t="shared" si="8"/>
        <v>24209756.097560976</v>
      </c>
      <c r="L9" s="2">
        <f t="shared" si="0"/>
        <v>121637285.67978749</v>
      </c>
      <c r="M9">
        <f t="shared" si="1"/>
        <v>1232794011.1084278</v>
      </c>
      <c r="N9" s="2">
        <f t="shared" si="2"/>
        <v>9142029185.4969444</v>
      </c>
      <c r="O9" s="2">
        <f t="shared" si="3"/>
        <v>74426722579.342697</v>
      </c>
      <c r="P9" s="2">
        <f t="shared" si="4"/>
        <v>530294630430.73138</v>
      </c>
      <c r="Q9" s="2">
        <f t="shared" si="5"/>
        <v>4236024187285.8589</v>
      </c>
      <c r="R9" s="2">
        <f t="shared" si="6"/>
        <v>26110853090430.027</v>
      </c>
      <c r="S9" s="2">
        <f t="shared" si="7"/>
        <v>212847141262388.16</v>
      </c>
    </row>
    <row r="10" spans="1:23">
      <c r="A10" t="s">
        <v>32</v>
      </c>
      <c r="B10">
        <f>4.014*10^5</f>
        <v>401400</v>
      </c>
      <c r="C10" s="2">
        <f t="shared" si="9"/>
        <v>602100</v>
      </c>
      <c r="I10" s="2"/>
      <c r="J10" s="2"/>
      <c r="K10" s="2"/>
      <c r="L10" s="2"/>
    </row>
    <row r="11" spans="1:23">
      <c r="H11" s="1" t="s">
        <v>5</v>
      </c>
      <c r="I11" t="s">
        <v>6</v>
      </c>
      <c r="J11" t="s">
        <v>10</v>
      </c>
      <c r="K11" t="s">
        <v>11</v>
      </c>
      <c r="L11" t="s">
        <v>2</v>
      </c>
      <c r="M11" t="s">
        <v>12</v>
      </c>
      <c r="N11" t="s">
        <v>3</v>
      </c>
      <c r="O11" t="s">
        <v>13</v>
      </c>
      <c r="P11" t="s">
        <v>14</v>
      </c>
      <c r="Q11" t="s">
        <v>15</v>
      </c>
      <c r="R11" t="s">
        <v>16</v>
      </c>
      <c r="S11" t="s">
        <v>17</v>
      </c>
    </row>
    <row r="12" spans="1:23">
      <c r="A12" s="1" t="s">
        <v>18</v>
      </c>
      <c r="H12" t="s">
        <v>31</v>
      </c>
      <c r="I12" s="3">
        <f t="shared" ref="I12:S12" si="10">3.322*(LOG(I4)-LOG($I4))</f>
        <v>0</v>
      </c>
      <c r="J12" s="3">
        <f>3.322*(LOG(J4)-LOG($I4))</f>
        <v>2.2857227758696115</v>
      </c>
      <c r="K12" s="3">
        <f t="shared" si="10"/>
        <v>5.2563145964870426</v>
      </c>
      <c r="L12" s="3">
        <f t="shared" si="10"/>
        <v>7.5449568323569975</v>
      </c>
      <c r="M12" s="3">
        <f t="shared" si="10"/>
        <v>10.722687310769889</v>
      </c>
      <c r="N12" s="3">
        <f t="shared" si="10"/>
        <v>13.6649678301505</v>
      </c>
      <c r="O12" s="3">
        <f t="shared" si="10"/>
        <v>16.365382576599032</v>
      </c>
      <c r="P12" s="3">
        <f t="shared" si="10"/>
        <v>19.27518880106113</v>
      </c>
      <c r="Q12" s="3">
        <f t="shared" si="10"/>
        <v>22.241376905869849</v>
      </c>
      <c r="R12" s="3">
        <f t="shared" si="10"/>
        <v>24.710759088338335</v>
      </c>
      <c r="S12" s="3">
        <f t="shared" si="10"/>
        <v>27.490049171358248</v>
      </c>
      <c r="T12" s="3"/>
      <c r="U12" s="3"/>
      <c r="V12" s="3"/>
      <c r="W12" s="3"/>
    </row>
    <row r="13" spans="1:23">
      <c r="B13" t="s">
        <v>0</v>
      </c>
      <c r="C13" t="s">
        <v>1</v>
      </c>
      <c r="D13" t="s">
        <v>19</v>
      </c>
      <c r="E13" t="s">
        <v>20</v>
      </c>
      <c r="H13" t="s">
        <v>31</v>
      </c>
      <c r="I13" s="3">
        <f t="shared" ref="I13:S13" si="11">3.322*(LOG(I5)-LOG($I5))</f>
        <v>0</v>
      </c>
      <c r="J13" s="3">
        <f t="shared" si="11"/>
        <v>2.3547812891495585</v>
      </c>
      <c r="K13" s="3">
        <f t="shared" si="11"/>
        <v>5.2263405099549161</v>
      </c>
      <c r="L13" s="3">
        <f t="shared" si="11"/>
        <v>7.6345929483920694</v>
      </c>
      <c r="M13" s="3">
        <f t="shared" si="11"/>
        <v>10.933061266013334</v>
      </c>
      <c r="N13" s="3">
        <f t="shared" si="11"/>
        <v>13.534632464662177</v>
      </c>
      <c r="O13" s="3">
        <f t="shared" si="11"/>
        <v>16.475798674387068</v>
      </c>
      <c r="P13" s="3">
        <f t="shared" si="11"/>
        <v>19.509977445500894</v>
      </c>
      <c r="Q13" s="3">
        <f t="shared" si="11"/>
        <v>22.648216277061906</v>
      </c>
      <c r="R13" s="3">
        <f t="shared" si="11"/>
        <v>25.538848388146107</v>
      </c>
      <c r="S13" s="3">
        <f t="shared" si="11"/>
        <v>28.244706521015541</v>
      </c>
    </row>
    <row r="14" spans="1:23">
      <c r="A14" t="s">
        <v>31</v>
      </c>
      <c r="B14">
        <f>9.647*10^4</f>
        <v>96470</v>
      </c>
      <c r="C14" s="2">
        <f>B14*20</f>
        <v>1929400</v>
      </c>
      <c r="D14" s="7">
        <v>0.104</v>
      </c>
      <c r="E14" s="2">
        <f>D14*C14</f>
        <v>200657.59999999998</v>
      </c>
      <c r="H14" t="s">
        <v>31</v>
      </c>
      <c r="I14" s="3">
        <f t="shared" ref="I14:S14" si="12">3.322*(LOG(I6)-LOG($I6))</f>
        <v>0</v>
      </c>
      <c r="J14" s="3">
        <f t="shared" si="12"/>
        <v>2.3390136319982968</v>
      </c>
      <c r="K14" s="3">
        <f t="shared" si="12"/>
        <v>5.3363736252979326</v>
      </c>
      <c r="L14" s="3">
        <f t="shared" si="12"/>
        <v>7.9507532315380844</v>
      </c>
      <c r="M14" s="3">
        <f t="shared" si="12"/>
        <v>10.930396964764274</v>
      </c>
      <c r="N14" s="3">
        <f t="shared" si="12"/>
        <v>13.700088957314358</v>
      </c>
      <c r="O14" s="3">
        <f t="shared" si="12"/>
        <v>16.974625852213283</v>
      </c>
      <c r="P14" s="3">
        <f t="shared" si="12"/>
        <v>19.888342511229936</v>
      </c>
      <c r="Q14" s="3">
        <f t="shared" si="12"/>
        <v>22.864879179151981</v>
      </c>
      <c r="R14" s="3">
        <f t="shared" si="12"/>
        <v>25.415654730050829</v>
      </c>
      <c r="S14" s="3">
        <f t="shared" si="12"/>
        <v>28.007290481015396</v>
      </c>
    </row>
    <row r="15" spans="1:23">
      <c r="A15" t="s">
        <v>31</v>
      </c>
      <c r="B15">
        <f>1.012*10^5</f>
        <v>101200</v>
      </c>
      <c r="C15" s="2">
        <f t="shared" ref="C15:C19" si="13">B15*20</f>
        <v>2024000</v>
      </c>
      <c r="D15" s="7">
        <v>9.9000000000000005E-2</v>
      </c>
      <c r="E15" s="2">
        <f t="shared" ref="E15:E19" si="14">D15*C15</f>
        <v>200376</v>
      </c>
      <c r="H15" t="s">
        <v>32</v>
      </c>
      <c r="I15" s="3">
        <f t="shared" ref="I15:S15" si="15">3.322*(LOG(I7)-LOG($I7))</f>
        <v>0</v>
      </c>
      <c r="J15" s="3">
        <f t="shared" si="15"/>
        <v>2.1800546790308246</v>
      </c>
      <c r="K15" s="3">
        <f t="shared" si="15"/>
        <v>5.1802645478859812</v>
      </c>
      <c r="L15" s="3">
        <f t="shared" si="15"/>
        <v>7.6535244799547861</v>
      </c>
      <c r="M15" s="3">
        <f t="shared" si="15"/>
        <v>10.812183308110736</v>
      </c>
      <c r="N15" s="3">
        <f t="shared" si="15"/>
        <v>13.570166655069269</v>
      </c>
      <c r="O15" s="3">
        <f t="shared" si="15"/>
        <v>16.571738774720892</v>
      </c>
      <c r="P15" s="3">
        <f t="shared" si="15"/>
        <v>19.417553724607078</v>
      </c>
      <c r="Q15" s="3">
        <f t="shared" si="15"/>
        <v>22.447570997780524</v>
      </c>
      <c r="R15" s="3">
        <f t="shared" si="15"/>
        <v>25.209810850928523</v>
      </c>
      <c r="S15" s="3">
        <f t="shared" si="15"/>
        <v>27.984438227670722</v>
      </c>
      <c r="U15" s="3"/>
    </row>
    <row r="16" spans="1:23">
      <c r="A16" t="s">
        <v>31</v>
      </c>
      <c r="B16">
        <f>1.001*10^5</f>
        <v>100099.99999999999</v>
      </c>
      <c r="C16" s="2">
        <f t="shared" si="13"/>
        <v>2001999.9999999998</v>
      </c>
      <c r="D16" s="7">
        <v>0.1</v>
      </c>
      <c r="E16" s="2">
        <f t="shared" si="14"/>
        <v>200200</v>
      </c>
      <c r="H16" t="s">
        <v>32</v>
      </c>
      <c r="I16" s="3">
        <f t="shared" ref="I16:S16" si="16">3.322*(LOG(I8)-LOG($I8))</f>
        <v>0</v>
      </c>
      <c r="J16" s="3">
        <f t="shared" si="16"/>
        <v>2.1891858884291429</v>
      </c>
      <c r="K16" s="3">
        <f t="shared" si="16"/>
        <v>5.3680369954697138</v>
      </c>
      <c r="L16" s="3">
        <f t="shared" si="16"/>
        <v>7.7726094194898216</v>
      </c>
      <c r="M16" s="3">
        <f t="shared" si="16"/>
        <v>10.892734018583964</v>
      </c>
      <c r="N16" s="3">
        <f t="shared" si="16"/>
        <v>13.819288857853927</v>
      </c>
      <c r="O16" s="3">
        <f t="shared" si="16"/>
        <v>16.722585931497914</v>
      </c>
      <c r="P16" s="3">
        <f t="shared" si="16"/>
        <v>19.460711847760042</v>
      </c>
      <c r="Q16" s="3">
        <f t="shared" si="16"/>
        <v>22.49856664956204</v>
      </c>
      <c r="R16" s="3">
        <f t="shared" si="16"/>
        <v>25.335476235432289</v>
      </c>
      <c r="S16" s="3">
        <f t="shared" si="16"/>
        <v>28.119495400453925</v>
      </c>
      <c r="U16" s="3"/>
    </row>
    <row r="17" spans="1:19">
      <c r="A17" t="s">
        <v>32</v>
      </c>
      <c r="B17">
        <f>1.26*10^5</f>
        <v>126000</v>
      </c>
      <c r="C17" s="2">
        <f t="shared" si="13"/>
        <v>2520000</v>
      </c>
      <c r="D17" s="7">
        <v>7.9000000000000001E-2</v>
      </c>
      <c r="E17" s="2">
        <f t="shared" si="14"/>
        <v>199080</v>
      </c>
      <c r="H17" t="s">
        <v>32</v>
      </c>
      <c r="I17" s="3">
        <f t="shared" ref="I17:S17" si="17">3.322*(LOG(I9)-LOG($I9))</f>
        <v>0</v>
      </c>
      <c r="J17" s="3">
        <f t="shared" si="17"/>
        <v>2.1358742741717922</v>
      </c>
      <c r="K17" s="3">
        <f t="shared" si="17"/>
        <v>5.4442182383328284</v>
      </c>
      <c r="L17" s="3">
        <f t="shared" si="17"/>
        <v>7.7731937275749559</v>
      </c>
      <c r="M17" s="3">
        <f t="shared" si="17"/>
        <v>11.114540376442605</v>
      </c>
      <c r="N17" s="3">
        <f t="shared" si="17"/>
        <v>14.005185611116351</v>
      </c>
      <c r="O17" s="3">
        <f t="shared" si="17"/>
        <v>17.030485471819063</v>
      </c>
      <c r="P17" s="3">
        <f t="shared" si="17"/>
        <v>19.863448319398394</v>
      </c>
      <c r="Q17" s="3">
        <f t="shared" si="17"/>
        <v>22.861357991073202</v>
      </c>
      <c r="R17" s="3">
        <f t="shared" si="17"/>
        <v>25.485281648087277</v>
      </c>
      <c r="S17" s="3">
        <f t="shared" si="17"/>
        <v>28.512443385804506</v>
      </c>
    </row>
    <row r="18" spans="1:19">
      <c r="A18" t="s">
        <v>32</v>
      </c>
      <c r="B18">
        <f>1.268*10^5</f>
        <v>126800</v>
      </c>
      <c r="C18" s="2">
        <f t="shared" si="13"/>
        <v>2536000</v>
      </c>
      <c r="D18" s="7">
        <v>7.9000000000000001E-2</v>
      </c>
      <c r="E18" s="2">
        <f t="shared" si="14"/>
        <v>200344</v>
      </c>
      <c r="I18" s="3"/>
      <c r="J18" s="3"/>
      <c r="K18" s="3"/>
      <c r="L18" s="3"/>
    </row>
    <row r="19" spans="1:19">
      <c r="A19" t="s">
        <v>32</v>
      </c>
      <c r="B19">
        <f>1.222*10^5</f>
        <v>122200</v>
      </c>
      <c r="C19" s="2">
        <f t="shared" si="13"/>
        <v>2444000</v>
      </c>
      <c r="D19" s="7">
        <v>8.2000000000000003E-2</v>
      </c>
      <c r="E19" s="2">
        <f t="shared" si="14"/>
        <v>200408</v>
      </c>
      <c r="I19" s="3"/>
      <c r="J19" s="3"/>
      <c r="K19" s="3"/>
      <c r="L19" s="3"/>
    </row>
    <row r="20" spans="1:19">
      <c r="D20" s="7"/>
      <c r="J20" s="3"/>
      <c r="K20" s="3"/>
    </row>
    <row r="21" spans="1:19">
      <c r="A21" s="1" t="s">
        <v>21</v>
      </c>
      <c r="J21" s="3"/>
      <c r="K21" s="3"/>
    </row>
    <row r="22" spans="1:19">
      <c r="B22" t="s">
        <v>0</v>
      </c>
      <c r="C22" t="s">
        <v>1</v>
      </c>
      <c r="D22" t="s">
        <v>19</v>
      </c>
      <c r="E22" t="s">
        <v>20</v>
      </c>
      <c r="J22" s="3"/>
      <c r="K22" s="3"/>
    </row>
    <row r="23" spans="1:19">
      <c r="A23" t="s">
        <v>31</v>
      </c>
      <c r="B23">
        <f>7.864*10^4</f>
        <v>78640</v>
      </c>
      <c r="C23" s="2">
        <f>B23*20</f>
        <v>1572800</v>
      </c>
      <c r="D23">
        <v>0.128</v>
      </c>
      <c r="E23" s="2">
        <f>D23*C23</f>
        <v>201318.39999999999</v>
      </c>
      <c r="J23" s="3"/>
      <c r="K23" s="3"/>
    </row>
    <row r="24" spans="1:19">
      <c r="A24" t="s">
        <v>31</v>
      </c>
      <c r="B24">
        <f>7.332*10^4</f>
        <v>73320</v>
      </c>
      <c r="C24" s="2">
        <f t="shared" ref="C24:C28" si="18">B24*20</f>
        <v>1466400</v>
      </c>
      <c r="D24">
        <v>0.13600000000000001</v>
      </c>
      <c r="E24" s="2">
        <f t="shared" ref="E24:E28" si="19">D24*C24</f>
        <v>199430.40000000002</v>
      </c>
      <c r="J24" s="3"/>
      <c r="K24" s="3"/>
    </row>
    <row r="25" spans="1:19">
      <c r="A25" t="s">
        <v>31</v>
      </c>
      <c r="B25">
        <f>7.993*10^4</f>
        <v>79930</v>
      </c>
      <c r="C25" s="2">
        <f t="shared" si="18"/>
        <v>1598600</v>
      </c>
      <c r="D25">
        <v>0.125</v>
      </c>
      <c r="E25" s="2">
        <f t="shared" si="19"/>
        <v>199825</v>
      </c>
      <c r="J25" s="3"/>
      <c r="K25" s="3"/>
    </row>
    <row r="26" spans="1:19">
      <c r="A26" t="s">
        <v>32</v>
      </c>
      <c r="B26">
        <f>7.964*10^4</f>
        <v>79640</v>
      </c>
      <c r="C26" s="2">
        <f t="shared" si="18"/>
        <v>1592800</v>
      </c>
      <c r="D26">
        <v>0.126</v>
      </c>
      <c r="E26" s="2">
        <f t="shared" si="19"/>
        <v>200692.8</v>
      </c>
      <c r="J26" s="3"/>
      <c r="K26" s="3"/>
    </row>
    <row r="27" spans="1:19">
      <c r="A27" t="s">
        <v>32</v>
      </c>
      <c r="B27">
        <f>9.071*10^4</f>
        <v>90710</v>
      </c>
      <c r="C27" s="2">
        <f t="shared" si="18"/>
        <v>1814200</v>
      </c>
      <c r="D27">
        <v>0.11</v>
      </c>
      <c r="E27" s="2">
        <f t="shared" si="19"/>
        <v>199562</v>
      </c>
      <c r="J27" s="3"/>
      <c r="K27" s="3"/>
    </row>
    <row r="28" spans="1:19">
      <c r="A28" t="s">
        <v>32</v>
      </c>
      <c r="B28">
        <f>9.926*10^4</f>
        <v>99260</v>
      </c>
      <c r="C28" s="2">
        <f t="shared" si="18"/>
        <v>1985200</v>
      </c>
      <c r="D28">
        <v>0.10100000000000001</v>
      </c>
      <c r="E28" s="2">
        <f t="shared" si="19"/>
        <v>200505.2</v>
      </c>
    </row>
    <row r="30" spans="1:19">
      <c r="A30" s="1" t="s">
        <v>22</v>
      </c>
    </row>
    <row r="31" spans="1:19">
      <c r="B31" t="s">
        <v>0</v>
      </c>
      <c r="C31" t="s">
        <v>1</v>
      </c>
      <c r="D31" t="s">
        <v>19</v>
      </c>
      <c r="E31" t="s">
        <v>20</v>
      </c>
    </row>
    <row r="32" spans="1:19">
      <c r="A32" t="s">
        <v>31</v>
      </c>
      <c r="B32">
        <f>4.918*10^4</f>
        <v>49180</v>
      </c>
      <c r="C32" s="2">
        <f>B32*20</f>
        <v>983600</v>
      </c>
      <c r="D32" s="6">
        <v>0.20399999999999999</v>
      </c>
      <c r="E32" s="2">
        <f>D32*C32</f>
        <v>200654.4</v>
      </c>
    </row>
    <row r="33" spans="1:5">
      <c r="A33" t="s">
        <v>31</v>
      </c>
      <c r="B33">
        <f>5.293*10^4</f>
        <v>52930</v>
      </c>
      <c r="C33" s="2">
        <f t="shared" ref="C33:C37" si="20">B33*20</f>
        <v>1058600</v>
      </c>
      <c r="D33" s="6">
        <v>0.19</v>
      </c>
      <c r="E33" s="2">
        <f t="shared" ref="E33:E37" si="21">D33*C33</f>
        <v>201134</v>
      </c>
    </row>
    <row r="34" spans="1:5">
      <c r="A34" t="s">
        <v>31</v>
      </c>
      <c r="B34">
        <f>6.118*10^4</f>
        <v>61180</v>
      </c>
      <c r="C34" s="2">
        <f t="shared" si="20"/>
        <v>1223600</v>
      </c>
      <c r="D34" s="6">
        <v>0.16400000000000001</v>
      </c>
      <c r="E34" s="2">
        <f t="shared" si="21"/>
        <v>200670.4</v>
      </c>
    </row>
    <row r="35" spans="1:5">
      <c r="A35" t="s">
        <v>32</v>
      </c>
      <c r="B35">
        <f>5.572*10^4</f>
        <v>55720</v>
      </c>
      <c r="C35" s="2">
        <f t="shared" si="20"/>
        <v>1114400</v>
      </c>
      <c r="D35" s="6">
        <v>0.18</v>
      </c>
      <c r="E35" s="2">
        <f t="shared" si="21"/>
        <v>200592</v>
      </c>
    </row>
    <row r="36" spans="1:5">
      <c r="A36" t="s">
        <v>32</v>
      </c>
      <c r="B36">
        <f>5.283*10^4</f>
        <v>52830</v>
      </c>
      <c r="C36" s="2">
        <f t="shared" si="20"/>
        <v>1056600</v>
      </c>
      <c r="D36" s="6">
        <v>0.19</v>
      </c>
      <c r="E36" s="2">
        <f t="shared" si="21"/>
        <v>200754</v>
      </c>
    </row>
    <row r="37" spans="1:5">
      <c r="A37" t="s">
        <v>32</v>
      </c>
      <c r="B37">
        <f>5.037*10^4</f>
        <v>50370</v>
      </c>
      <c r="C37" s="2">
        <f t="shared" si="20"/>
        <v>1007400</v>
      </c>
      <c r="D37" s="6">
        <v>0.2</v>
      </c>
      <c r="E37" s="2">
        <f t="shared" si="21"/>
        <v>201480</v>
      </c>
    </row>
    <row r="39" spans="1:5">
      <c r="A39" s="1" t="s">
        <v>23</v>
      </c>
      <c r="C39" s="7"/>
      <c r="D39" s="6"/>
    </row>
    <row r="40" spans="1:5">
      <c r="B40" t="s">
        <v>0</v>
      </c>
      <c r="C40" t="s">
        <v>1</v>
      </c>
      <c r="D40" t="s">
        <v>19</v>
      </c>
      <c r="E40" t="s">
        <v>20</v>
      </c>
    </row>
    <row r="41" spans="1:5">
      <c r="A41" t="s">
        <v>31</v>
      </c>
      <c r="B41">
        <f>9.078*10^4</f>
        <v>90780</v>
      </c>
      <c r="C41" s="7">
        <f>B41*20</f>
        <v>1815600</v>
      </c>
      <c r="D41" s="6">
        <v>0.11</v>
      </c>
      <c r="E41" s="2">
        <f>D41*C41</f>
        <v>199716</v>
      </c>
    </row>
    <row r="42" spans="1:5">
      <c r="A42" t="s">
        <v>31</v>
      </c>
      <c r="B42">
        <f>9.894*10^4</f>
        <v>98940</v>
      </c>
      <c r="C42" s="7">
        <f t="shared" ref="C42:C46" si="22">B42*20</f>
        <v>1978800</v>
      </c>
      <c r="D42" s="6">
        <v>0.10199999999999999</v>
      </c>
      <c r="E42" s="2">
        <f t="shared" ref="E42:E46" si="23">D42*C42</f>
        <v>201837.59999999998</v>
      </c>
    </row>
    <row r="43" spans="1:5">
      <c r="A43" t="s">
        <v>31</v>
      </c>
      <c r="B43">
        <f>7.914*10^4</f>
        <v>79140</v>
      </c>
      <c r="C43" s="7">
        <f t="shared" si="22"/>
        <v>1582800</v>
      </c>
      <c r="D43" s="6">
        <v>0.126</v>
      </c>
      <c r="E43" s="2">
        <f t="shared" si="23"/>
        <v>199432.8</v>
      </c>
    </row>
    <row r="44" spans="1:5">
      <c r="A44" t="s">
        <v>32</v>
      </c>
      <c r="B44">
        <f>8.956*10^4</f>
        <v>89560</v>
      </c>
      <c r="C44" s="7">
        <f t="shared" si="22"/>
        <v>1791200</v>
      </c>
      <c r="D44" s="6">
        <v>0.112</v>
      </c>
      <c r="E44" s="2">
        <f t="shared" si="23"/>
        <v>200614.39999999999</v>
      </c>
    </row>
    <row r="45" spans="1:5">
      <c r="A45" t="s">
        <v>32</v>
      </c>
      <c r="B45">
        <f>8.727*10^4</f>
        <v>87270</v>
      </c>
      <c r="C45" s="7">
        <f t="shared" si="22"/>
        <v>1745400</v>
      </c>
      <c r="D45" s="6">
        <v>0.115</v>
      </c>
      <c r="E45" s="2">
        <f t="shared" si="23"/>
        <v>200721</v>
      </c>
    </row>
    <row r="46" spans="1:5">
      <c r="A46" t="s">
        <v>32</v>
      </c>
      <c r="B46">
        <f>1.021*10^5</f>
        <v>102099.99999999999</v>
      </c>
      <c r="C46" s="7">
        <f t="shared" si="22"/>
        <v>2041999.9999999998</v>
      </c>
      <c r="D46" s="6">
        <v>9.8000000000000004E-2</v>
      </c>
      <c r="E46" s="2">
        <f t="shared" si="23"/>
        <v>200115.99999999997</v>
      </c>
    </row>
    <row r="48" spans="1:5">
      <c r="A48" s="1" t="s">
        <v>24</v>
      </c>
    </row>
    <row r="49" spans="1:5">
      <c r="B49" t="s">
        <v>0</v>
      </c>
      <c r="C49" t="s">
        <v>1</v>
      </c>
      <c r="D49" t="s">
        <v>19</v>
      </c>
      <c r="E49" t="s">
        <v>20</v>
      </c>
    </row>
    <row r="50" spans="1:5">
      <c r="A50" t="s">
        <v>31</v>
      </c>
      <c r="B50">
        <f>1.535*10^5</f>
        <v>153500</v>
      </c>
      <c r="C50">
        <f>B50*20/2</f>
        <v>1535000</v>
      </c>
      <c r="D50">
        <v>0.13</v>
      </c>
      <c r="E50" s="2">
        <f>D50*C50</f>
        <v>199550</v>
      </c>
    </row>
    <row r="51" spans="1:5">
      <c r="A51" t="s">
        <v>31</v>
      </c>
      <c r="B51">
        <f>1.225*10^5</f>
        <v>122500.00000000001</v>
      </c>
      <c r="C51">
        <f t="shared" ref="C51:C55" si="24">B51*20/2</f>
        <v>1225000.0000000002</v>
      </c>
      <c r="D51">
        <v>0.16300000000000001</v>
      </c>
      <c r="E51" s="2">
        <f t="shared" ref="E51:E55" si="25">D51*C51</f>
        <v>199675.00000000006</v>
      </c>
    </row>
    <row r="52" spans="1:5">
      <c r="A52" t="s">
        <v>31</v>
      </c>
      <c r="B52">
        <f>1.36*10^5</f>
        <v>136000</v>
      </c>
      <c r="C52">
        <f t="shared" si="24"/>
        <v>1360000</v>
      </c>
      <c r="D52">
        <v>0.14699999999999999</v>
      </c>
      <c r="E52" s="2">
        <f t="shared" si="25"/>
        <v>199920</v>
      </c>
    </row>
    <row r="53" spans="1:5">
      <c r="A53" t="s">
        <v>32</v>
      </c>
      <c r="B53">
        <f>1.357*10^5</f>
        <v>135700</v>
      </c>
      <c r="C53">
        <f t="shared" si="24"/>
        <v>1357000</v>
      </c>
      <c r="D53">
        <v>0.14699999999999999</v>
      </c>
      <c r="E53" s="2">
        <f t="shared" si="25"/>
        <v>199479</v>
      </c>
    </row>
    <row r="54" spans="1:5">
      <c r="A54" t="s">
        <v>32</v>
      </c>
      <c r="B54">
        <f>1.526*10^5</f>
        <v>152600</v>
      </c>
      <c r="C54">
        <f t="shared" si="24"/>
        <v>1526000</v>
      </c>
      <c r="D54">
        <v>0.13100000000000001</v>
      </c>
      <c r="E54" s="2">
        <f t="shared" si="25"/>
        <v>199906</v>
      </c>
    </row>
    <row r="55" spans="1:5">
      <c r="A55" t="s">
        <v>32</v>
      </c>
      <c r="B55">
        <f>1.484*10^5</f>
        <v>148400</v>
      </c>
      <c r="C55">
        <f t="shared" si="24"/>
        <v>1484000</v>
      </c>
      <c r="D55">
        <v>0.13500000000000001</v>
      </c>
      <c r="E55" s="2">
        <f t="shared" si="25"/>
        <v>200340</v>
      </c>
    </row>
    <row r="57" spans="1:5">
      <c r="A57" s="1" t="s">
        <v>25</v>
      </c>
    </row>
    <row r="58" spans="1:5">
      <c r="B58" t="s">
        <v>0</v>
      </c>
      <c r="C58" t="s">
        <v>1</v>
      </c>
      <c r="D58" t="s">
        <v>19</v>
      </c>
      <c r="E58" t="s">
        <v>20</v>
      </c>
    </row>
    <row r="59" spans="1:5">
      <c r="A59" t="s">
        <v>31</v>
      </c>
      <c r="B59">
        <f>2.594*10^5</f>
        <v>259400</v>
      </c>
      <c r="C59">
        <f>B59*10/2</f>
        <v>1297000</v>
      </c>
      <c r="D59">
        <v>0.154</v>
      </c>
      <c r="E59" s="2">
        <f>D59*C59</f>
        <v>199738</v>
      </c>
    </row>
    <row r="60" spans="1:5">
      <c r="A60" t="s">
        <v>31</v>
      </c>
      <c r="B60">
        <f>3.067*10^5</f>
        <v>306700</v>
      </c>
      <c r="C60">
        <f t="shared" ref="C60:C64" si="26">B60*10/2</f>
        <v>1533500</v>
      </c>
      <c r="D60">
        <v>0.13</v>
      </c>
      <c r="E60" s="2">
        <f t="shared" ref="E60:E63" si="27">D60*C60</f>
        <v>199355</v>
      </c>
    </row>
    <row r="61" spans="1:5">
      <c r="A61" t="s">
        <v>31</v>
      </c>
      <c r="B61">
        <f>3.869*10^5</f>
        <v>386900</v>
      </c>
      <c r="C61">
        <f t="shared" si="26"/>
        <v>1934500</v>
      </c>
      <c r="D61">
        <v>0.104</v>
      </c>
      <c r="E61" s="2">
        <f t="shared" si="27"/>
        <v>201188</v>
      </c>
    </row>
    <row r="62" spans="1:5">
      <c r="A62" t="s">
        <v>32</v>
      </c>
      <c r="B62">
        <f>3.195*10^5</f>
        <v>319500</v>
      </c>
      <c r="C62">
        <f t="shared" si="26"/>
        <v>1597500</v>
      </c>
      <c r="D62">
        <v>0.126</v>
      </c>
      <c r="E62" s="2">
        <f t="shared" si="27"/>
        <v>201285</v>
      </c>
    </row>
    <row r="63" spans="1:5">
      <c r="A63" t="s">
        <v>32</v>
      </c>
      <c r="B63">
        <f>2.991*10^5</f>
        <v>299100</v>
      </c>
      <c r="C63">
        <f t="shared" si="26"/>
        <v>1495500</v>
      </c>
      <c r="D63">
        <v>0.13400000000000001</v>
      </c>
      <c r="E63" s="2">
        <f t="shared" si="27"/>
        <v>200397</v>
      </c>
    </row>
    <row r="64" spans="1:5">
      <c r="A64" t="s">
        <v>32</v>
      </c>
      <c r="B64">
        <f>3.262*10^5</f>
        <v>326200</v>
      </c>
      <c r="C64">
        <f t="shared" si="26"/>
        <v>1631000</v>
      </c>
      <c r="D64">
        <v>0.124</v>
      </c>
      <c r="E64" s="2">
        <f>D64*C64</f>
        <v>202244</v>
      </c>
    </row>
    <row r="66" spans="1:5">
      <c r="A66" s="1" t="s">
        <v>26</v>
      </c>
    </row>
    <row r="67" spans="1:5">
      <c r="B67" t="s">
        <v>0</v>
      </c>
      <c r="C67" t="s">
        <v>1</v>
      </c>
      <c r="D67" t="s">
        <v>19</v>
      </c>
      <c r="E67" t="s">
        <v>20</v>
      </c>
    </row>
    <row r="68" spans="1:5">
      <c r="A68" t="s">
        <v>31</v>
      </c>
      <c r="B68">
        <f>1.501*10^5</f>
        <v>150100</v>
      </c>
      <c r="C68">
        <f>B68*20/2</f>
        <v>1501000</v>
      </c>
      <c r="D68">
        <v>0.13300000000000001</v>
      </c>
      <c r="E68">
        <f>D68*C68</f>
        <v>199633</v>
      </c>
    </row>
    <row r="69" spans="1:5">
      <c r="A69" t="s">
        <v>31</v>
      </c>
      <c r="B69">
        <f>1.633*10^5</f>
        <v>163300</v>
      </c>
      <c r="C69">
        <f t="shared" ref="C69:C73" si="28">B69*20/2</f>
        <v>1633000</v>
      </c>
      <c r="D69">
        <v>0.122</v>
      </c>
      <c r="E69">
        <f t="shared" ref="E69:E73" si="29">D69*C69</f>
        <v>199226</v>
      </c>
    </row>
    <row r="70" spans="1:5">
      <c r="A70" t="s">
        <v>31</v>
      </c>
      <c r="B70">
        <f>1.516*10^5</f>
        <v>151600</v>
      </c>
      <c r="C70">
        <f t="shared" si="28"/>
        <v>1516000</v>
      </c>
      <c r="D70">
        <v>0.13200000000000001</v>
      </c>
      <c r="E70">
        <f t="shared" si="29"/>
        <v>200112</v>
      </c>
    </row>
    <row r="71" spans="1:5">
      <c r="A71" t="s">
        <v>32</v>
      </c>
      <c r="B71">
        <f>1.447*10^5</f>
        <v>144700</v>
      </c>
      <c r="C71">
        <f t="shared" si="28"/>
        <v>1447000</v>
      </c>
      <c r="D71">
        <v>0.13800000000000001</v>
      </c>
      <c r="E71">
        <f t="shared" si="29"/>
        <v>199686.00000000003</v>
      </c>
    </row>
    <row r="72" spans="1:5">
      <c r="A72" t="s">
        <v>32</v>
      </c>
      <c r="B72">
        <f>1.337*10^5</f>
        <v>133700</v>
      </c>
      <c r="C72">
        <f t="shared" si="28"/>
        <v>1337000</v>
      </c>
      <c r="D72">
        <v>0.14899999999999999</v>
      </c>
      <c r="E72">
        <f t="shared" si="29"/>
        <v>199213</v>
      </c>
    </row>
    <row r="73" spans="1:5">
      <c r="A73" t="s">
        <v>32</v>
      </c>
      <c r="B73">
        <f>1.441*10^5</f>
        <v>144100</v>
      </c>
      <c r="C73">
        <f t="shared" si="28"/>
        <v>1441000</v>
      </c>
      <c r="D73">
        <v>0.13900000000000001</v>
      </c>
      <c r="E73">
        <f t="shared" si="29"/>
        <v>200299.00000000003</v>
      </c>
    </row>
    <row r="75" spans="1:5">
      <c r="A75" s="1" t="s">
        <v>27</v>
      </c>
    </row>
    <row r="76" spans="1:5">
      <c r="B76" t="s">
        <v>0</v>
      </c>
      <c r="C76" t="s">
        <v>1</v>
      </c>
      <c r="D76" t="s">
        <v>19</v>
      </c>
      <c r="E76" t="s">
        <v>20</v>
      </c>
    </row>
    <row r="77" spans="1:5">
      <c r="A77" t="s">
        <v>31</v>
      </c>
      <c r="B77">
        <f>1.56*10^5</f>
        <v>156000</v>
      </c>
      <c r="C77">
        <f>B77*20/2</f>
        <v>1560000</v>
      </c>
      <c r="D77">
        <v>0.128</v>
      </c>
      <c r="E77">
        <f>D77*C77</f>
        <v>199680</v>
      </c>
    </row>
    <row r="78" spans="1:5">
      <c r="A78" t="s">
        <v>31</v>
      </c>
      <c r="B78">
        <f>1.754*10^5</f>
        <v>175400</v>
      </c>
      <c r="C78">
        <f t="shared" ref="C78:C82" si="30">B78*20/2</f>
        <v>1754000</v>
      </c>
      <c r="D78">
        <v>0.114</v>
      </c>
      <c r="E78">
        <f t="shared" ref="E78:E82" si="31">D78*C78</f>
        <v>199956</v>
      </c>
    </row>
    <row r="79" spans="1:5">
      <c r="A79" t="s">
        <v>31</v>
      </c>
      <c r="B79">
        <f>1.575*10^5</f>
        <v>157500</v>
      </c>
      <c r="C79">
        <f t="shared" si="30"/>
        <v>1575000</v>
      </c>
      <c r="D79">
        <v>0.127</v>
      </c>
      <c r="E79">
        <f t="shared" si="31"/>
        <v>200025</v>
      </c>
    </row>
    <row r="80" spans="1:5">
      <c r="A80" t="s">
        <v>32</v>
      </c>
      <c r="B80">
        <f>1.631*10^5</f>
        <v>163100</v>
      </c>
      <c r="C80">
        <f t="shared" si="30"/>
        <v>1631000</v>
      </c>
      <c r="D80">
        <v>0.123</v>
      </c>
      <c r="E80">
        <f t="shared" si="31"/>
        <v>200613</v>
      </c>
    </row>
    <row r="81" spans="1:5">
      <c r="A81" t="s">
        <v>32</v>
      </c>
      <c r="B81">
        <f>1.636*10^5</f>
        <v>163600</v>
      </c>
      <c r="C81">
        <f t="shared" si="30"/>
        <v>1636000</v>
      </c>
      <c r="D81">
        <v>0.122</v>
      </c>
      <c r="E81">
        <f t="shared" si="31"/>
        <v>199592</v>
      </c>
    </row>
    <row r="82" spans="1:5">
      <c r="A82" t="s">
        <v>32</v>
      </c>
      <c r="B82">
        <f>1.6*10^5</f>
        <v>160000</v>
      </c>
      <c r="C82">
        <f t="shared" si="30"/>
        <v>1600000</v>
      </c>
      <c r="D82">
        <v>0.125</v>
      </c>
      <c r="E82">
        <f t="shared" si="31"/>
        <v>200000</v>
      </c>
    </row>
    <row r="84" spans="1:5">
      <c r="A84" s="1" t="s">
        <v>28</v>
      </c>
    </row>
    <row r="85" spans="1:5">
      <c r="B85" t="s">
        <v>0</v>
      </c>
      <c r="C85" t="s">
        <v>1</v>
      </c>
      <c r="D85" t="s">
        <v>19</v>
      </c>
      <c r="E85" t="s">
        <v>20</v>
      </c>
    </row>
    <row r="86" spans="1:5">
      <c r="A86" t="s">
        <v>31</v>
      </c>
      <c r="B86">
        <f>5.529*10^4</f>
        <v>55290</v>
      </c>
      <c r="C86">
        <f>B86*20</f>
        <v>1105800</v>
      </c>
      <c r="D86">
        <v>0.18099999999999999</v>
      </c>
      <c r="E86" s="5">
        <f>D86*C86</f>
        <v>200149.8</v>
      </c>
    </row>
    <row r="87" spans="1:5">
      <c r="A87" t="s">
        <v>31</v>
      </c>
      <c r="B87">
        <f>7.414*10^4</f>
        <v>74140</v>
      </c>
      <c r="C87">
        <f t="shared" ref="C87:C91" si="32">B87*20</f>
        <v>1482800</v>
      </c>
      <c r="D87">
        <v>0.13500000000000001</v>
      </c>
      <c r="E87" s="5">
        <f t="shared" ref="E87:E91" si="33">D87*C87</f>
        <v>200178</v>
      </c>
    </row>
    <row r="88" spans="1:5">
      <c r="A88" t="s">
        <v>31</v>
      </c>
      <c r="B88">
        <f>5.86*10^4</f>
        <v>58600</v>
      </c>
      <c r="C88">
        <f t="shared" si="32"/>
        <v>1172000</v>
      </c>
      <c r="D88">
        <v>0.17100000000000001</v>
      </c>
      <c r="E88" s="5">
        <f t="shared" si="33"/>
        <v>200412.00000000003</v>
      </c>
    </row>
    <row r="89" spans="1:5">
      <c r="A89" t="s">
        <v>32</v>
      </c>
      <c r="B89">
        <f>6.805*10^4</f>
        <v>68050</v>
      </c>
      <c r="C89">
        <f t="shared" si="32"/>
        <v>1361000</v>
      </c>
      <c r="D89">
        <v>0.14699999999999999</v>
      </c>
      <c r="E89" s="5">
        <f t="shared" si="33"/>
        <v>200067</v>
      </c>
    </row>
    <row r="90" spans="1:5">
      <c r="A90" t="s">
        <v>32</v>
      </c>
      <c r="B90">
        <f>7.13*10^4</f>
        <v>71300</v>
      </c>
      <c r="C90">
        <f t="shared" si="32"/>
        <v>1426000</v>
      </c>
      <c r="D90">
        <v>0.14000000000000001</v>
      </c>
      <c r="E90" s="5">
        <f t="shared" si="33"/>
        <v>199640.00000000003</v>
      </c>
    </row>
    <row r="91" spans="1:5">
      <c r="A91" t="s">
        <v>32</v>
      </c>
      <c r="B91">
        <f>6.164*10^4</f>
        <v>61640</v>
      </c>
      <c r="C91">
        <f t="shared" si="32"/>
        <v>1232800</v>
      </c>
      <c r="D91">
        <v>0.16200000000000001</v>
      </c>
      <c r="E91" s="5">
        <f t="shared" si="33"/>
        <v>199713.6</v>
      </c>
    </row>
    <row r="93" spans="1:5">
      <c r="A93" s="1" t="s">
        <v>29</v>
      </c>
    </row>
    <row r="94" spans="1:5">
      <c r="B94" t="s">
        <v>0</v>
      </c>
      <c r="C94" t="s">
        <v>1</v>
      </c>
      <c r="D94" t="s">
        <v>19</v>
      </c>
      <c r="E94" t="s">
        <v>20</v>
      </c>
    </row>
    <row r="95" spans="1:5">
      <c r="A95" t="s">
        <v>31</v>
      </c>
      <c r="B95">
        <f>1.374*10^5</f>
        <v>137400</v>
      </c>
      <c r="C95">
        <f>B95*20/2</f>
        <v>1374000</v>
      </c>
      <c r="D95" t="s">
        <v>30</v>
      </c>
      <c r="E95" t="s">
        <v>30</v>
      </c>
    </row>
    <row r="96" spans="1:5">
      <c r="A96" t="s">
        <v>31</v>
      </c>
      <c r="B96">
        <f>1.306*10^5</f>
        <v>130600</v>
      </c>
      <c r="C96">
        <f t="shared" ref="C96:C100" si="34">B96*20/2</f>
        <v>1306000</v>
      </c>
      <c r="D96" t="s">
        <v>30</v>
      </c>
      <c r="E96" t="s">
        <v>30</v>
      </c>
    </row>
    <row r="97" spans="1:5">
      <c r="A97" t="s">
        <v>31</v>
      </c>
      <c r="B97">
        <f>1.208*10^5</f>
        <v>120800</v>
      </c>
      <c r="C97">
        <f t="shared" si="34"/>
        <v>1208000</v>
      </c>
      <c r="D97" t="s">
        <v>30</v>
      </c>
      <c r="E97" t="s">
        <v>30</v>
      </c>
    </row>
    <row r="98" spans="1:5">
      <c r="A98" t="s">
        <v>32</v>
      </c>
      <c r="B98">
        <f>1.369*10^5</f>
        <v>136900</v>
      </c>
      <c r="C98">
        <f t="shared" si="34"/>
        <v>1369000</v>
      </c>
      <c r="D98" t="s">
        <v>30</v>
      </c>
      <c r="E98" t="s">
        <v>30</v>
      </c>
    </row>
    <row r="99" spans="1:5">
      <c r="A99" t="s">
        <v>32</v>
      </c>
      <c r="B99">
        <f>1.375*10^5</f>
        <v>137500</v>
      </c>
      <c r="C99">
        <f t="shared" si="34"/>
        <v>1375000</v>
      </c>
      <c r="D99" t="s">
        <v>30</v>
      </c>
      <c r="E99" t="s">
        <v>30</v>
      </c>
    </row>
    <row r="100" spans="1:5">
      <c r="A100" t="s">
        <v>32</v>
      </c>
      <c r="B100">
        <f>1.628*10^5</f>
        <v>162800</v>
      </c>
      <c r="C100">
        <f t="shared" si="34"/>
        <v>1628000</v>
      </c>
      <c r="D100" t="s">
        <v>30</v>
      </c>
      <c r="E100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</vt:lpstr>
      <vt:lpstr>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Trolle</dc:creator>
  <cp:lastModifiedBy>Julie Trolle</cp:lastModifiedBy>
  <dcterms:created xsi:type="dcterms:W3CDTF">2022-07-27T17:51:03Z</dcterms:created>
  <dcterms:modified xsi:type="dcterms:W3CDTF">2022-07-29T19:30:50Z</dcterms:modified>
</cp:coreProperties>
</file>